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Joel Champlin\Dropbox\Aerostar\Operations\Weight&amp;Balance\"/>
    </mc:Choice>
  </mc:AlternateContent>
  <xr:revisionPtr revIDLastSave="0" documentId="13_ncr:1_{D4DEF970-A8D0-44B2-9B54-05CD2DDAA8EB}" xr6:coauthVersionLast="47" xr6:coauthVersionMax="47" xr10:uidLastSave="{00000000-0000-0000-0000-000000000000}"/>
  <bookViews>
    <workbookView xWindow="690" yWindow="825" windowWidth="22635" windowHeight="14280" xr2:uid="{00000000-000D-0000-FFFF-FFFF00000000}"/>
  </bookViews>
  <sheets>
    <sheet name="Flight" sheetId="1" r:id="rId1"/>
    <sheet name="Aircraft" sheetId="2" r:id="rId2"/>
    <sheet name="Calculation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3" l="1"/>
  <c r="B23" i="3"/>
  <c r="B22" i="3"/>
  <c r="B25" i="3" s="1"/>
  <c r="C27" i="1"/>
  <c r="E27" i="1"/>
  <c r="C25" i="1"/>
  <c r="E25" i="1"/>
  <c r="C23" i="1"/>
  <c r="E23" i="1"/>
  <c r="C21" i="1"/>
  <c r="E21" i="1"/>
  <c r="B29" i="1"/>
  <c r="B42" i="1"/>
  <c r="B41" i="1"/>
  <c r="B40" i="1"/>
  <c r="B39" i="1"/>
  <c r="B18" i="3"/>
  <c r="D12" i="1"/>
  <c r="C12" i="1"/>
  <c r="E12" i="1"/>
  <c r="B11" i="3"/>
  <c r="B9" i="3"/>
  <c r="I8" i="1"/>
  <c r="I7" i="1"/>
  <c r="I6" i="1"/>
  <c r="I5" i="1"/>
  <c r="I4" i="1"/>
  <c r="B5" i="3"/>
  <c r="C3" i="1"/>
  <c r="C2" i="1"/>
  <c r="B4" i="3"/>
  <c r="B3" i="3"/>
  <c r="D10" i="3" s="1"/>
  <c r="B22" i="1"/>
  <c r="E17" i="1"/>
  <c r="E14" i="1"/>
  <c r="E15" i="1"/>
  <c r="E16" i="1"/>
  <c r="E18" i="1"/>
  <c r="B8" i="3"/>
  <c r="D8" i="3"/>
  <c r="C8" i="3"/>
  <c r="B12" i="3"/>
  <c r="D12" i="3"/>
  <c r="C29" i="1"/>
  <c r="M6" i="1" s="1"/>
  <c r="C12" i="3"/>
  <c r="B17" i="3" l="1"/>
  <c r="D13" i="3"/>
  <c r="B10" i="3"/>
  <c r="E29" i="1"/>
  <c r="D29" i="1" s="1"/>
  <c r="L6" i="1" s="1"/>
  <c r="B35" i="1"/>
  <c r="C35" i="1"/>
  <c r="D35" i="1"/>
  <c r="C10" i="3" l="1"/>
  <c r="B15" i="3"/>
  <c r="B33" i="1" s="1"/>
  <c r="C13" i="3" l="1"/>
  <c r="B16" i="3"/>
  <c r="B19" i="3" l="1"/>
  <c r="B34" i="1"/>
  <c r="C22" i="3"/>
  <c r="B36" i="1"/>
  <c r="C24" i="3" l="1"/>
  <c r="D24" i="3" s="1"/>
  <c r="F24" i="3" s="1"/>
  <c r="D22" i="3"/>
  <c r="C23" i="3"/>
  <c r="D23" i="3" s="1"/>
  <c r="F23" i="3" s="1"/>
  <c r="B37" i="1"/>
  <c r="C37" i="1" s="1"/>
  <c r="C36" i="1"/>
  <c r="F22" i="3" l="1"/>
  <c r="F25" i="3" s="1"/>
  <c r="D25" i="3"/>
  <c r="M7" i="1" s="1"/>
  <c r="C25" i="3"/>
  <c r="C16" i="3" s="1"/>
  <c r="E25" i="3" l="1"/>
  <c r="L7" i="1" s="1"/>
</calcChain>
</file>

<file path=xl/sharedStrings.xml><?xml version="1.0" encoding="utf-8"?>
<sst xmlns="http://schemas.openxmlformats.org/spreadsheetml/2006/main" count="158" uniqueCount="136">
  <si>
    <t>Arm-inches</t>
  </si>
  <si>
    <t>Moment</t>
  </si>
  <si>
    <t>Pilot</t>
  </si>
  <si>
    <t>Copilot</t>
  </si>
  <si>
    <t>Takeoff Totals</t>
  </si>
  <si>
    <t>Landing Totals</t>
  </si>
  <si>
    <t>Aerostar Weight &amp; Balance</t>
  </si>
  <si>
    <t>Gals</t>
  </si>
  <si>
    <t>Lbs.</t>
  </si>
  <si>
    <t xml:space="preserve">   (240 max including Aux Fuel Wt.)</t>
  </si>
  <si>
    <t>Weight</t>
  </si>
  <si>
    <t>Take-off</t>
  </si>
  <si>
    <t>C.G.</t>
  </si>
  <si>
    <t>Landing</t>
  </si>
  <si>
    <t>Basic Airplane (empty wt.)</t>
  </si>
  <si>
    <t>(from your weight &amp; balance)</t>
  </si>
  <si>
    <t>Wing Fuel - gallons</t>
  </si>
  <si>
    <t>Fuselage Fuel - gallons</t>
  </si>
  <si>
    <t>Baggage Compartment</t>
  </si>
  <si>
    <t>Forward &gt;</t>
  </si>
  <si>
    <t>Rearward &gt;</t>
  </si>
  <si>
    <t>Altitude</t>
  </si>
  <si>
    <t>No wind situation</t>
  </si>
  <si>
    <t>Miles</t>
  </si>
  <si>
    <t>NM</t>
  </si>
  <si>
    <t>Time</t>
  </si>
  <si>
    <t>No Wind Rule of thumb:</t>
  </si>
  <si>
    <t>70-100</t>
  </si>
  <si>
    <t>100-160</t>
  </si>
  <si>
    <t>160-200</t>
  </si>
  <si>
    <t>300+</t>
  </si>
  <si>
    <t>83+</t>
  </si>
  <si>
    <t>200-250</t>
  </si>
  <si>
    <t>N88CX</t>
  </si>
  <si>
    <t xml:space="preserve">   (62 max per side/124 total)</t>
  </si>
  <si>
    <t>601P</t>
  </si>
  <si>
    <t>fpm</t>
  </si>
  <si>
    <t>040-070</t>
  </si>
  <si>
    <t>RPM</t>
  </si>
  <si>
    <t>MAP</t>
  </si>
  <si>
    <t>Tail #</t>
  </si>
  <si>
    <t>Model</t>
  </si>
  <si>
    <t>Customize for your airplane from</t>
  </si>
  <si>
    <t>POH in gray boxes, including</t>
  </si>
  <si>
    <t>info on the Limits tab</t>
  </si>
  <si>
    <t>in light blue boxes.  Do not change</t>
  </si>
  <si>
    <t>other cells unless you know what</t>
  </si>
  <si>
    <t>you are doing.</t>
  </si>
  <si>
    <t>Altitude of Flight (feet)</t>
  </si>
  <si>
    <t>Distance (nautical miles)</t>
  </si>
  <si>
    <t xml:space="preserve">Tail #: </t>
  </si>
  <si>
    <t xml:space="preserve">Model: </t>
  </si>
  <si>
    <t xml:space="preserve">Distance: </t>
  </si>
  <si>
    <t xml:space="preserve">Altitude: </t>
  </si>
  <si>
    <t>Cruise:</t>
  </si>
  <si>
    <t>% Power</t>
  </si>
  <si>
    <t>From POH</t>
  </si>
  <si>
    <t>from Flight tab</t>
  </si>
  <si>
    <t>Climb</t>
  </si>
  <si>
    <t>knots</t>
  </si>
  <si>
    <t>SL</t>
  </si>
  <si>
    <t>Standard Day</t>
  </si>
  <si>
    <t>Aircraft:</t>
  </si>
  <si>
    <t>Fuel:</t>
  </si>
  <si>
    <t>Cruise</t>
  </si>
  <si>
    <t>gal/hour</t>
  </si>
  <si>
    <t>W&amp;B Limits:</t>
  </si>
  <si>
    <t>Max Ramp wt</t>
  </si>
  <si>
    <t>Max Takeoff wt</t>
  </si>
  <si>
    <t>lbs</t>
  </si>
  <si>
    <t>Climb:</t>
  </si>
  <si>
    <t>Airspeed</t>
  </si>
  <si>
    <t>Rate of Climb</t>
  </si>
  <si>
    <t>Average Rate of Climb (fpm)</t>
  </si>
  <si>
    <t xml:space="preserve">Cruise Airspeed: </t>
  </si>
  <si>
    <t>Cruise (65%)</t>
  </si>
  <si>
    <t>Descent:</t>
  </si>
  <si>
    <t>Weight (lbs)</t>
  </si>
  <si>
    <t>Basic Empty Wt</t>
  </si>
  <si>
    <t xml:space="preserve">Empty Arm </t>
  </si>
  <si>
    <t>Middle Passengers (or baggage)</t>
  </si>
  <si>
    <t>Rear Passengers (or baggage)</t>
  </si>
  <si>
    <t>Flight Level</t>
  </si>
  <si>
    <t>Naut Miles</t>
  </si>
  <si>
    <t>Knots</t>
  </si>
  <si>
    <t>Minutes</t>
  </si>
  <si>
    <t>Flight Fuel Used (gal) &gt;</t>
  </si>
  <si>
    <t>Flight Total Miles &gt;</t>
  </si>
  <si>
    <t>Flight Time (hrs) &gt;</t>
  </si>
  <si>
    <t>hrs</t>
  </si>
  <si>
    <t>gal</t>
  </si>
  <si>
    <t>Reserve Fuel &gt;</t>
  </si>
  <si>
    <t>Total Fuel Req &gt;</t>
  </si>
  <si>
    <t>to defuel if full</t>
  </si>
  <si>
    <t>Max Takeoff Weight (lbs)</t>
  </si>
  <si>
    <t>Max Ramp Weight (lbs)</t>
  </si>
  <si>
    <t xml:space="preserve">Max Fuselage Weight  </t>
  </si>
  <si>
    <t xml:space="preserve">Max Landing Weight </t>
  </si>
  <si>
    <t>Max Landing wt</t>
  </si>
  <si>
    <t xml:space="preserve">   (41.5 max) </t>
  </si>
  <si>
    <t xml:space="preserve">1. Customize for your airplane </t>
  </si>
  <si>
    <t>your POH into the gray boxes</t>
  </si>
  <si>
    <t>2. Enter the values for your flight</t>
  </si>
  <si>
    <t>Flight Summary:</t>
  </si>
  <si>
    <t>Expected duration of flight &gt;</t>
  </si>
  <si>
    <t>Fuel required for flight &gt;</t>
  </si>
  <si>
    <t>Take-off weight &gt;</t>
  </si>
  <si>
    <t>After Fuel Reserve &gt;</t>
  </si>
  <si>
    <t>Fuel Remaining at Landing &gt;</t>
  </si>
  <si>
    <t>Airspeed (kts)</t>
  </si>
  <si>
    <t>Best Power</t>
  </si>
  <si>
    <t>on the Aircraft tab with info from</t>
  </si>
  <si>
    <t>Wt (lbs)</t>
  </si>
  <si>
    <t>Arm (inch)</t>
  </si>
  <si>
    <t>Landing Fuel</t>
  </si>
  <si>
    <t>Wing Fuel &gt;</t>
  </si>
  <si>
    <t>Fuselage Fuel &gt;</t>
  </si>
  <si>
    <t>Aux Tank &gt;</t>
  </si>
  <si>
    <t>Note:</t>
  </si>
  <si>
    <t>4.59 gals wing fuel used for each gal of fuselage fuel.</t>
  </si>
  <si>
    <t>Time (min)</t>
  </si>
  <si>
    <t>Fuel (gal)</t>
  </si>
  <si>
    <t>Climb &gt;</t>
  </si>
  <si>
    <t>Cruise airspeed &gt;</t>
  </si>
  <si>
    <t>Cruise &gt;</t>
  </si>
  <si>
    <t>Descent airspeed &gt;</t>
  </si>
  <si>
    <t xml:space="preserve">Fuel Reserve: </t>
  </si>
  <si>
    <t xml:space="preserve">   (45 max) </t>
  </si>
  <si>
    <t>Overfill Fus Tank - gallons</t>
  </si>
  <si>
    <t xml:space="preserve">   (15 max) </t>
  </si>
  <si>
    <t>Aux Fuel Tank - gallons</t>
  </si>
  <si>
    <t>Start Gal</t>
  </si>
  <si>
    <t>End Gal</t>
  </si>
  <si>
    <t>Descent &gt;</t>
  </si>
  <si>
    <t xml:space="preserve">Assumes Aux fuel is used first, then Fuselage fuel. 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</si>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</sst>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0;[Red]0"/>
  </numFmts>
  <fonts count="10" x14ac:knownFonts="1">
    <font>
      <sz val="10"/>
      <name val="Arial"/>
    </font>
    <font>
      <sz val="8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4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1" fontId="5" fillId="0" borderId="6" xfId="0" applyNumberFormat="1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/>
    <xf numFmtId="0" fontId="5" fillId="0" borderId="4" xfId="0" applyFont="1" applyBorder="1" applyAlignment="1">
      <alignment horizontal="center"/>
    </xf>
    <xf numFmtId="0" fontId="5" fillId="4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2" fontId="5" fillId="0" borderId="0" xfId="0" applyNumberFormat="1" applyFont="1"/>
    <xf numFmtId="1" fontId="5" fillId="0" borderId="0" xfId="0" applyNumberFormat="1" applyFont="1"/>
    <xf numFmtId="3" fontId="5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64" fontId="5" fillId="0" borderId="0" xfId="0" applyNumberFormat="1" applyFont="1"/>
    <xf numFmtId="0" fontId="5" fillId="0" borderId="2" xfId="0" applyFont="1" applyBorder="1"/>
    <xf numFmtId="164" fontId="5" fillId="0" borderId="2" xfId="0" applyNumberFormat="1" applyFont="1" applyBorder="1"/>
    <xf numFmtId="2" fontId="5" fillId="0" borderId="2" xfId="0" applyNumberFormat="1" applyFont="1" applyBorder="1"/>
    <xf numFmtId="1" fontId="5" fillId="0" borderId="2" xfId="0" applyNumberFormat="1" applyFont="1" applyBorder="1"/>
    <xf numFmtId="0" fontId="6" fillId="0" borderId="0" xfId="0" applyFont="1" applyAlignment="1">
      <alignment horizontal="right"/>
    </xf>
    <xf numFmtId="2" fontId="7" fillId="0" borderId="0" xfId="0" applyNumberFormat="1" applyFont="1"/>
    <xf numFmtId="0" fontId="6" fillId="0" borderId="0" xfId="0" applyFont="1"/>
    <xf numFmtId="164" fontId="7" fillId="0" borderId="0" xfId="0" applyNumberFormat="1" applyFont="1"/>
    <xf numFmtId="166" fontId="7" fillId="0" borderId="0" xfId="0" applyNumberFormat="1" applyFont="1"/>
    <xf numFmtId="165" fontId="5" fillId="0" borderId="0" xfId="0" applyNumberFormat="1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/>
    <xf numFmtId="0" fontId="3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>
      <protection locked="0"/>
    </xf>
    <xf numFmtId="0" fontId="8" fillId="0" borderId="0" xfId="0" applyFont="1"/>
    <xf numFmtId="3" fontId="8" fillId="0" borderId="0" xfId="0" applyNumberFormat="1" applyFont="1"/>
    <xf numFmtId="3" fontId="3" fillId="0" borderId="0" xfId="0" applyNumberFormat="1" applyFont="1"/>
    <xf numFmtId="0" fontId="3" fillId="0" borderId="7" xfId="0" applyFont="1" applyBorder="1"/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1" fontId="2" fillId="0" borderId="0" xfId="0" applyNumberFormat="1" applyFont="1"/>
    <xf numFmtId="0" fontId="2" fillId="0" borderId="2" xfId="0" applyFont="1" applyBorder="1"/>
    <xf numFmtId="164" fontId="2" fillId="0" borderId="2" xfId="0" applyNumberFormat="1" applyFont="1" applyBorder="1"/>
    <xf numFmtId="1" fontId="2" fillId="0" borderId="2" xfId="0" applyNumberFormat="1" applyFont="1" applyBorder="1"/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3" fillId="0" borderId="1" xfId="0" applyFont="1" applyBorder="1"/>
    <xf numFmtId="164" fontId="8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40174427422017"/>
          <c:y val="4.2487807070715401E-2"/>
          <c:w val="0.75733623377603831"/>
          <c:h val="0.843219555711120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solidFill>
                <a:srgbClr val="FFFF0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Aircraft!$C$18:$C$22</c:f>
              <c:numCache>
                <c:formatCode>General</c:formatCode>
                <c:ptCount val="5"/>
                <c:pt idx="0">
                  <c:v>157.66</c:v>
                </c:pt>
                <c:pt idx="1">
                  <c:v>157.66</c:v>
                </c:pt>
                <c:pt idx="2">
                  <c:v>160.66999999999999</c:v>
                </c:pt>
                <c:pt idx="3">
                  <c:v>167.88</c:v>
                </c:pt>
                <c:pt idx="4">
                  <c:v>167.88</c:v>
                </c:pt>
              </c:numCache>
            </c:numRef>
          </c:xVal>
          <c:yVal>
            <c:numRef>
              <c:f>Aircraft!$D$18:$D$22</c:f>
              <c:numCache>
                <c:formatCode>General</c:formatCode>
                <c:ptCount val="5"/>
                <c:pt idx="0">
                  <c:v>4000</c:v>
                </c:pt>
                <c:pt idx="1">
                  <c:v>4600</c:v>
                </c:pt>
                <c:pt idx="2">
                  <c:v>6000</c:v>
                </c:pt>
                <c:pt idx="3">
                  <c:v>6000</c:v>
                </c:pt>
                <c:pt idx="4">
                  <c:v>4000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72-4FC5-8556-05E9E63FF662}"/>
            </c:ext>
          </c:extLst>
        </c:ser>
        <c:ser>
          <c:idx val="1"/>
          <c:order val="1"/>
          <c:tx>
            <c:v>Take-off</c:v>
          </c:tx>
          <c:marker>
            <c:spPr>
              <a:solidFill>
                <a:schemeClr val="tx2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Flight!$L$6</c:f>
              <c:numCache>
                <c:formatCode>0.00</c:formatCode>
                <c:ptCount val="1"/>
                <c:pt idx="0">
                  <c:v>165.28234149614224</c:v>
                </c:pt>
              </c:numCache>
            </c:numRef>
          </c:xVal>
          <c:yVal>
            <c:numRef>
              <c:f>Flight!$M$6</c:f>
              <c:numCache>
                <c:formatCode>0</c:formatCode>
                <c:ptCount val="1"/>
                <c:pt idx="0">
                  <c:v>5962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B7-4932-B27B-5A15DEA55A3D}"/>
            </c:ext>
          </c:extLst>
        </c:ser>
        <c:ser>
          <c:idx val="2"/>
          <c:order val="2"/>
          <c:tx>
            <c:v>Landing</c:v>
          </c:tx>
          <c:spPr>
            <a:ln>
              <a:solidFill>
                <a:sysClr val="windowText" lastClr="000000"/>
              </a:solidFill>
            </a:ln>
            <a:effectLst/>
          </c:spPr>
          <c:marker>
            <c:symbol val="x"/>
            <c:size val="8"/>
            <c:spPr>
              <a:solidFill>
                <a:srgbClr val="FF66CC"/>
              </a:solidFill>
              <a:ln>
                <a:solidFill>
                  <a:sysClr val="windowText" lastClr="0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Flight!$L$7</c:f>
              <c:numCache>
                <c:formatCode>0.00</c:formatCode>
                <c:ptCount val="1"/>
                <c:pt idx="0">
                  <c:v>164.28316936304691</c:v>
                </c:pt>
              </c:numCache>
            </c:numRef>
          </c:xVal>
          <c:yVal>
            <c:numRef>
              <c:f>Flight!$M$7</c:f>
              <c:numCache>
                <c:formatCode>0</c:formatCode>
                <c:ptCount val="1"/>
                <c:pt idx="0">
                  <c:v>5517.7589285714284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8B7-4932-B27B-5A15DEA55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4934639"/>
        <c:axId val="1"/>
      </c:scatterChart>
      <c:valAx>
        <c:axId val="2104934639"/>
        <c:scaling>
          <c:orientation val="minMax"/>
          <c:max val="169"/>
          <c:min val="155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C.G. Location   601P</a:t>
                </a:r>
              </a:p>
            </c:rich>
          </c:tx>
          <c:layout>
            <c:manualLayout>
              <c:xMode val="edge"/>
              <c:yMode val="edge"/>
              <c:x val="0.47361571414582843"/>
              <c:y val="0.93512019330916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4000"/>
        <c:crossBetween val="midCat"/>
        <c:majorUnit val="1"/>
        <c:minorUnit val="0.2"/>
      </c:valAx>
      <c:valAx>
        <c:axId val="1"/>
        <c:scaling>
          <c:orientation val="minMax"/>
          <c:max val="7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Aircraft Weight (lbs)</a:t>
                </a:r>
              </a:p>
            </c:rich>
          </c:tx>
          <c:layout>
            <c:manualLayout>
              <c:xMode val="edge"/>
              <c:yMode val="edge"/>
              <c:x val="4.3100569218971083E-2"/>
              <c:y val="0.35951227878693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4934639"/>
        <c:crossesAt val="155"/>
        <c:crossBetween val="midCat"/>
        <c:majorUnit val="2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291353</xdr:colOff>
      <xdr:row>8</xdr:row>
      <xdr:rowOff>92448</xdr:rowOff>
    </xdr:from>
    <xdr:to>
      <xdr:col>13</xdr:col>
      <xdr:colOff>224678</xdr:colOff>
      <xdr:row>43</xdr:row>
      <xdr:rowOff>67236</xdr:rowOff>
    </xdr:to>
    <xdr:graphicFrame macro="">
      <xdr:nvGraphicFramePr>
        <xdr:cNvPr id="1046" name="Chart 1">
          <a:extLst>
            <a:ext uri="{FF2B5EF4-FFF2-40B4-BE49-F238E27FC236}">
              <a16:creationId xmlns:a16="http://schemas.microsoft.com/office/drawing/2014/main" id="{FEB42470-0317-4B8D-8C34-A7A174729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="85" workbookViewId="0">
      <selection activeCell="B22" sqref="B22"/>
    </sheetView>
  </sheetViews>
  <sheetFormatPr defaultColWidth="9.140625" defaultRowHeight="15" x14ac:dyDescent="0.2"/>
  <cols>
    <col min="1" max="1" width="37.28515625" style="5" customWidth="1"/>
    <col min="2" max="2" width="18.5703125" style="5" customWidth="1"/>
    <col min="3" max="3" width="14.28515625" style="5" customWidth="1"/>
    <col min="4" max="4" width="12.85546875" style="5" customWidth="1"/>
    <col min="5" max="5" width="11.85546875" style="5" customWidth="1"/>
    <col min="6" max="6" width="9.140625" style="5"/>
    <col min="7" max="7" width="10.42578125" style="5" customWidth="1"/>
    <col min="8" max="8" width="14.5703125" style="5" customWidth="1"/>
    <col min="9" max="9" width="9.5703125" style="5" bestFit="1" customWidth="1"/>
    <col min="10" max="10" width="9.140625" style="5"/>
    <col min="11" max="11" width="12" style="5" customWidth="1"/>
    <col min="12" max="16384" width="9.140625" style="5"/>
  </cols>
  <sheetData>
    <row r="1" spans="1:13" ht="15.75" x14ac:dyDescent="0.25">
      <c r="A1" s="4" t="s">
        <v>6</v>
      </c>
    </row>
    <row r="2" spans="1:13" x14ac:dyDescent="0.2">
      <c r="B2" s="6" t="s">
        <v>50</v>
      </c>
      <c r="C2" s="5" t="str">
        <f>Aircraft!C2</f>
        <v>N88CX</v>
      </c>
      <c r="F2" s="5" t="s">
        <v>26</v>
      </c>
    </row>
    <row r="3" spans="1:13" ht="15.75" thickBot="1" x14ac:dyDescent="0.25">
      <c r="A3" s="7" t="s">
        <v>100</v>
      </c>
      <c r="B3" s="6" t="s">
        <v>51</v>
      </c>
      <c r="C3" s="5" t="str">
        <f>Aircraft!C3</f>
        <v>601P</v>
      </c>
      <c r="F3" s="8" t="s">
        <v>24</v>
      </c>
      <c r="G3" s="8" t="s">
        <v>25</v>
      </c>
      <c r="H3" s="8" t="s">
        <v>21</v>
      </c>
      <c r="I3" s="8" t="s">
        <v>75</v>
      </c>
    </row>
    <row r="4" spans="1:13" x14ac:dyDescent="0.2">
      <c r="A4" s="7" t="s">
        <v>111</v>
      </c>
      <c r="B4" s="6" t="s">
        <v>52</v>
      </c>
      <c r="C4" s="1">
        <v>400</v>
      </c>
      <c r="D4" s="5" t="s">
        <v>83</v>
      </c>
      <c r="F4" s="10">
        <v>100</v>
      </c>
      <c r="G4" s="10">
        <v>30</v>
      </c>
      <c r="H4" s="10" t="s">
        <v>37</v>
      </c>
      <c r="I4" s="10">
        <f>Aircraft!E10</f>
        <v>190</v>
      </c>
    </row>
    <row r="5" spans="1:13" x14ac:dyDescent="0.2">
      <c r="A5" s="7" t="s">
        <v>101</v>
      </c>
      <c r="B5" s="6" t="s">
        <v>53</v>
      </c>
      <c r="C5" s="1">
        <v>180</v>
      </c>
      <c r="D5" s="5" t="s">
        <v>82</v>
      </c>
      <c r="F5" s="10">
        <v>150</v>
      </c>
      <c r="G5" s="10">
        <v>45</v>
      </c>
      <c r="H5" s="10" t="s">
        <v>27</v>
      </c>
      <c r="I5" s="10">
        <f>Aircraft!F10</f>
        <v>199</v>
      </c>
      <c r="L5" s="11" t="s">
        <v>12</v>
      </c>
      <c r="M5" s="11" t="s">
        <v>10</v>
      </c>
    </row>
    <row r="6" spans="1:13" x14ac:dyDescent="0.2">
      <c r="B6" s="6" t="s">
        <v>74</v>
      </c>
      <c r="C6" s="1">
        <v>224</v>
      </c>
      <c r="D6" s="5" t="s">
        <v>84</v>
      </c>
      <c r="F6" s="10">
        <v>200</v>
      </c>
      <c r="G6" s="10">
        <v>60</v>
      </c>
      <c r="H6" s="10" t="s">
        <v>28</v>
      </c>
      <c r="I6" s="10">
        <f>Aircraft!G10</f>
        <v>206</v>
      </c>
      <c r="K6" s="12" t="s">
        <v>11</v>
      </c>
      <c r="L6" s="13">
        <f>D29</f>
        <v>165.28234149614224</v>
      </c>
      <c r="M6" s="14">
        <f>C29</f>
        <v>5962</v>
      </c>
    </row>
    <row r="7" spans="1:13" x14ac:dyDescent="0.2">
      <c r="A7" s="9" t="s">
        <v>102</v>
      </c>
      <c r="B7" s="6" t="s">
        <v>126</v>
      </c>
      <c r="C7" s="1">
        <v>60</v>
      </c>
      <c r="D7" s="5" t="s">
        <v>85</v>
      </c>
      <c r="F7" s="10">
        <v>250</v>
      </c>
      <c r="G7" s="10">
        <v>70</v>
      </c>
      <c r="H7" s="10" t="s">
        <v>29</v>
      </c>
      <c r="I7" s="10">
        <f>Aircraft!H10</f>
        <v>210</v>
      </c>
      <c r="K7" s="12" t="s">
        <v>13</v>
      </c>
      <c r="L7" s="13">
        <f>Calculations!E25</f>
        <v>164.28316936304691</v>
      </c>
      <c r="M7" s="14">
        <f>Calculations!D25</f>
        <v>5517.7589285714284</v>
      </c>
    </row>
    <row r="8" spans="1:13" x14ac:dyDescent="0.2">
      <c r="A8" s="9" t="s">
        <v>45</v>
      </c>
      <c r="F8" s="10" t="s">
        <v>30</v>
      </c>
      <c r="G8" s="10" t="s">
        <v>31</v>
      </c>
      <c r="H8" s="10" t="s">
        <v>32</v>
      </c>
      <c r="I8" s="10">
        <f>Aircraft!I10</f>
        <v>212</v>
      </c>
    </row>
    <row r="9" spans="1:13" x14ac:dyDescent="0.2">
      <c r="A9" s="9" t="s">
        <v>46</v>
      </c>
      <c r="E9" s="6"/>
      <c r="F9" s="15"/>
      <c r="K9" s="15"/>
    </row>
    <row r="10" spans="1:13" x14ac:dyDescent="0.2">
      <c r="A10" s="9" t="s">
        <v>47</v>
      </c>
      <c r="E10" s="6"/>
      <c r="F10" s="15"/>
      <c r="K10" s="15"/>
    </row>
    <row r="11" spans="1:13" x14ac:dyDescent="0.2">
      <c r="A11" s="16"/>
      <c r="B11" s="16"/>
      <c r="C11" s="17" t="s">
        <v>77</v>
      </c>
      <c r="D11" s="17" t="s">
        <v>0</v>
      </c>
      <c r="E11" s="17" t="s">
        <v>1</v>
      </c>
    </row>
    <row r="12" spans="1:13" x14ac:dyDescent="0.2">
      <c r="A12" s="5" t="s">
        <v>14</v>
      </c>
      <c r="C12" s="18">
        <f>Aircraft!D27</f>
        <v>4208</v>
      </c>
      <c r="D12" s="18">
        <f>Aircraft!D28</f>
        <v>163.54</v>
      </c>
      <c r="E12" s="3">
        <f>IF(C12=0,"", (C12*D12))</f>
        <v>688176.32</v>
      </c>
    </row>
    <row r="13" spans="1:13" x14ac:dyDescent="0.2">
      <c r="A13" s="5" t="s">
        <v>15</v>
      </c>
    </row>
    <row r="14" spans="1:13" x14ac:dyDescent="0.2">
      <c r="A14" s="6" t="s">
        <v>2</v>
      </c>
      <c r="C14" s="1">
        <v>215</v>
      </c>
      <c r="D14" s="5">
        <v>96</v>
      </c>
      <c r="E14" s="14">
        <f>IF(C14=0,0, (C14*D14))</f>
        <v>20640</v>
      </c>
    </row>
    <row r="15" spans="1:13" x14ac:dyDescent="0.2">
      <c r="A15" s="6" t="s">
        <v>3</v>
      </c>
      <c r="C15" s="1">
        <v>185</v>
      </c>
      <c r="D15" s="5">
        <v>96</v>
      </c>
      <c r="E15" s="14">
        <f>IF(C15=0,0, (C15*D15))</f>
        <v>17760</v>
      </c>
    </row>
    <row r="16" spans="1:13" x14ac:dyDescent="0.2">
      <c r="A16" s="6" t="s">
        <v>80</v>
      </c>
      <c r="C16" s="1">
        <v>0</v>
      </c>
      <c r="D16" s="5">
        <v>132</v>
      </c>
      <c r="E16" s="14">
        <f>IF(C16=0,0, (C16*D16))</f>
        <v>0</v>
      </c>
    </row>
    <row r="17" spans="1:5" x14ac:dyDescent="0.2">
      <c r="A17" s="6" t="s">
        <v>81</v>
      </c>
      <c r="C17" s="1">
        <v>280</v>
      </c>
      <c r="D17" s="5">
        <v>165</v>
      </c>
      <c r="E17" s="14">
        <f>IF(C17=0,0, (C17*D17))</f>
        <v>46200</v>
      </c>
    </row>
    <row r="18" spans="1:5" x14ac:dyDescent="0.2">
      <c r="A18" s="6" t="s">
        <v>18</v>
      </c>
      <c r="C18" s="1">
        <v>225</v>
      </c>
      <c r="D18" s="5">
        <v>256</v>
      </c>
      <c r="E18" s="14">
        <f>IF(C18=0,0, (C18*D18))</f>
        <v>57600</v>
      </c>
    </row>
    <row r="19" spans="1:5" x14ac:dyDescent="0.2">
      <c r="A19" s="6" t="s">
        <v>9</v>
      </c>
      <c r="E19" s="14"/>
    </row>
    <row r="20" spans="1:5" x14ac:dyDescent="0.2">
      <c r="A20" s="6"/>
      <c r="E20" s="14"/>
    </row>
    <row r="21" spans="1:5" x14ac:dyDescent="0.2">
      <c r="A21" s="6" t="s">
        <v>16</v>
      </c>
      <c r="B21" s="1">
        <v>100</v>
      </c>
      <c r="C21" s="19">
        <f>IF(B21=0,"", (B21*6))</f>
        <v>600</v>
      </c>
      <c r="D21" s="5">
        <v>170</v>
      </c>
      <c r="E21" s="14">
        <f>IF(B21="","", (C21*D21))</f>
        <v>102000</v>
      </c>
    </row>
    <row r="22" spans="1:5" x14ac:dyDescent="0.2">
      <c r="A22" s="6" t="s">
        <v>34</v>
      </c>
      <c r="B22" s="5">
        <f>124-B21</f>
        <v>24</v>
      </c>
      <c r="C22" s="14" t="s">
        <v>93</v>
      </c>
      <c r="E22" s="14"/>
    </row>
    <row r="23" spans="1:5" x14ac:dyDescent="0.2">
      <c r="A23" s="6" t="s">
        <v>17</v>
      </c>
      <c r="B23" s="1">
        <v>41.5</v>
      </c>
      <c r="C23" s="19">
        <f>B23*6</f>
        <v>249</v>
      </c>
      <c r="D23" s="5">
        <v>213</v>
      </c>
      <c r="E23" s="14">
        <f>C23*D23</f>
        <v>53037</v>
      </c>
    </row>
    <row r="24" spans="1:5" x14ac:dyDescent="0.2">
      <c r="A24" s="6" t="s">
        <v>99</v>
      </c>
      <c r="E24" s="14"/>
    </row>
    <row r="25" spans="1:5" x14ac:dyDescent="0.2">
      <c r="A25" s="6" t="s">
        <v>128</v>
      </c>
      <c r="B25" s="1">
        <v>0</v>
      </c>
      <c r="C25" s="19">
        <f>B25*6</f>
        <v>0</v>
      </c>
      <c r="D25" s="5">
        <v>213</v>
      </c>
      <c r="E25" s="14">
        <f>C25*D25</f>
        <v>0</v>
      </c>
    </row>
    <row r="26" spans="1:5" x14ac:dyDescent="0.2">
      <c r="A26" s="6" t="s">
        <v>129</v>
      </c>
      <c r="E26" s="14"/>
    </row>
    <row r="27" spans="1:5" x14ac:dyDescent="0.2">
      <c r="A27" s="6" t="s">
        <v>130</v>
      </c>
      <c r="B27" s="1">
        <v>0</v>
      </c>
      <c r="C27" s="19">
        <f>B27*6</f>
        <v>0</v>
      </c>
      <c r="D27" s="5">
        <v>230</v>
      </c>
      <c r="E27" s="14">
        <f>C27*D27</f>
        <v>0</v>
      </c>
    </row>
    <row r="28" spans="1:5" x14ac:dyDescent="0.2">
      <c r="A28" s="6" t="s">
        <v>127</v>
      </c>
      <c r="E28" s="14"/>
    </row>
    <row r="29" spans="1:5" x14ac:dyDescent="0.2">
      <c r="A29" s="20" t="s">
        <v>4</v>
      </c>
      <c r="B29" s="20">
        <f>B21+B23+B25+B27</f>
        <v>141.5</v>
      </c>
      <c r="C29" s="21">
        <f>SUM(C12:C28)</f>
        <v>5962</v>
      </c>
      <c r="D29" s="22">
        <f>E29/C29</f>
        <v>165.28234149614224</v>
      </c>
      <c r="E29" s="23">
        <f>SUM(E12:E28)</f>
        <v>985413.32</v>
      </c>
    </row>
    <row r="30" spans="1:5" x14ac:dyDescent="0.2">
      <c r="B30" s="6" t="s">
        <v>7</v>
      </c>
      <c r="C30" s="6" t="s">
        <v>8</v>
      </c>
      <c r="D30" s="6" t="s">
        <v>0</v>
      </c>
      <c r="E30" s="6" t="s">
        <v>1</v>
      </c>
    </row>
    <row r="31" spans="1:5" x14ac:dyDescent="0.2">
      <c r="B31" s="6"/>
      <c r="C31" s="6"/>
      <c r="D31" s="6"/>
      <c r="E31" s="6"/>
    </row>
    <row r="32" spans="1:5" x14ac:dyDescent="0.2">
      <c r="A32" s="5" t="s">
        <v>103</v>
      </c>
      <c r="E32" s="6"/>
    </row>
    <row r="33" spans="1:5" ht="15.75" x14ac:dyDescent="0.25">
      <c r="A33" s="24" t="s">
        <v>104</v>
      </c>
      <c r="B33" s="25">
        <f>Calculations!B15</f>
        <v>1.9129464285714286</v>
      </c>
      <c r="C33" s="26" t="s">
        <v>89</v>
      </c>
      <c r="E33" s="6"/>
    </row>
    <row r="34" spans="1:5" ht="15.75" x14ac:dyDescent="0.25">
      <c r="A34" s="24" t="s">
        <v>105</v>
      </c>
      <c r="B34" s="27">
        <f>Calculations!B16</f>
        <v>74.040178571428584</v>
      </c>
      <c r="C34" s="26" t="s">
        <v>90</v>
      </c>
      <c r="E34" s="6"/>
    </row>
    <row r="35" spans="1:5" ht="15.75" x14ac:dyDescent="0.25">
      <c r="A35" s="24" t="s">
        <v>106</v>
      </c>
      <c r="B35" s="28">
        <f>C29</f>
        <v>5962</v>
      </c>
      <c r="C35" s="28">
        <f>B$40-C$29</f>
        <v>38</v>
      </c>
      <c r="D35" s="26" t="str">
        <f>IF(C$29&gt;B$40, "lbs over max T/O wt", "lbs under max T/O wt")</f>
        <v>lbs under max T/O wt</v>
      </c>
      <c r="E35" s="6"/>
    </row>
    <row r="36" spans="1:5" ht="15.75" x14ac:dyDescent="0.25">
      <c r="A36" s="24" t="s">
        <v>108</v>
      </c>
      <c r="B36" s="27">
        <f>B$29-Calculations!B$16</f>
        <v>67.459821428571416</v>
      </c>
      <c r="C36" s="26" t="str">
        <f>IF(B$36&lt;0, "inadequate for flight", "adequate fuel for flight")</f>
        <v>adequate fuel for flight</v>
      </c>
      <c r="D36" s="26"/>
      <c r="E36" s="6"/>
    </row>
    <row r="37" spans="1:5" ht="15.75" x14ac:dyDescent="0.25">
      <c r="A37" s="24" t="s">
        <v>107</v>
      </c>
      <c r="B37" s="27">
        <f>B$36-(Aircraft!C$13*C$7/60)</f>
        <v>33.459821428571416</v>
      </c>
      <c r="C37" s="26" t="str">
        <f>IF(B$37&lt;0, "inadequate fuel reserve", "adequate fuel reserve")</f>
        <v>adequate fuel reserve</v>
      </c>
      <c r="D37" s="26"/>
      <c r="E37" s="6"/>
    </row>
    <row r="38" spans="1:5" x14ac:dyDescent="0.2">
      <c r="A38" s="26"/>
      <c r="B38" s="6"/>
      <c r="C38" s="6"/>
      <c r="D38" s="6"/>
      <c r="E38" s="6"/>
    </row>
    <row r="39" spans="1:5" x14ac:dyDescent="0.2">
      <c r="A39" s="5" t="s">
        <v>95</v>
      </c>
      <c r="B39" s="5">
        <f>Aircraft!D24</f>
        <v>6000</v>
      </c>
    </row>
    <row r="40" spans="1:5" x14ac:dyDescent="0.2">
      <c r="A40" s="5" t="s">
        <v>94</v>
      </c>
      <c r="B40" s="5">
        <f>Aircraft!D26</f>
        <v>6000</v>
      </c>
      <c r="C40" s="29"/>
    </row>
    <row r="41" spans="1:5" x14ac:dyDescent="0.2">
      <c r="A41" s="5" t="s">
        <v>96</v>
      </c>
      <c r="B41" s="5">
        <f>Aircraft!D24</f>
        <v>6000</v>
      </c>
    </row>
    <row r="42" spans="1:5" x14ac:dyDescent="0.2">
      <c r="A42" s="5" t="s">
        <v>97</v>
      </c>
      <c r="B42" s="5">
        <f>Aircraft!D26</f>
        <v>6000</v>
      </c>
    </row>
  </sheetData>
  <sheetProtection algorithmName="SHA-512" hashValue="iL53c8Khmmqbh8JJIz1ejqnVECPbU+Nb2zWxoeiNGbs6cvjBeJ6RCZh+h1k1bnfKp55+WjBphKh9PMgN6apeAw==" saltValue="XjXpYX/JVjhOmnS54ZIPNQ==" spinCount="100000" sheet="1" objects="1" scenarios="1"/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opLeftCell="A4" workbookViewId="0">
      <selection activeCell="C14" sqref="C14"/>
    </sheetView>
  </sheetViews>
  <sheetFormatPr defaultColWidth="9.140625" defaultRowHeight="12.75" x14ac:dyDescent="0.2"/>
  <cols>
    <col min="1" max="1" width="9.140625" style="30"/>
    <col min="2" max="2" width="10.28515625" style="30" customWidth="1"/>
    <col min="3" max="3" width="12.85546875" style="30" customWidth="1"/>
    <col min="4" max="4" width="9.140625" style="30"/>
    <col min="5" max="5" width="10" style="30" customWidth="1"/>
    <col min="6" max="6" width="8.7109375" style="30" customWidth="1"/>
    <col min="7" max="16384" width="9.140625" style="30"/>
  </cols>
  <sheetData>
    <row r="1" spans="1:11" x14ac:dyDescent="0.2">
      <c r="A1" s="30" t="s">
        <v>62</v>
      </c>
      <c r="B1" s="31"/>
      <c r="C1" s="31"/>
      <c r="D1" s="32"/>
      <c r="E1" s="31"/>
      <c r="F1" s="31"/>
      <c r="G1" s="31"/>
      <c r="H1" s="31"/>
    </row>
    <row r="2" spans="1:11" x14ac:dyDescent="0.2">
      <c r="B2" s="33" t="s">
        <v>40</v>
      </c>
      <c r="C2" s="2" t="s">
        <v>33</v>
      </c>
      <c r="D2" s="32"/>
      <c r="E2" s="34" t="s">
        <v>42</v>
      </c>
      <c r="F2" s="34"/>
      <c r="G2" s="34"/>
      <c r="H2" s="31"/>
    </row>
    <row r="3" spans="1:11" x14ac:dyDescent="0.2">
      <c r="B3" s="33" t="s">
        <v>41</v>
      </c>
      <c r="C3" s="2" t="s">
        <v>35</v>
      </c>
      <c r="D3" s="32"/>
      <c r="E3" s="34" t="s">
        <v>43</v>
      </c>
      <c r="F3" s="34"/>
      <c r="G3" s="34"/>
      <c r="H3" s="31"/>
    </row>
    <row r="4" spans="1:11" x14ac:dyDescent="0.2">
      <c r="B4" s="31"/>
      <c r="C4" s="31"/>
      <c r="D4" s="32"/>
      <c r="E4" s="34" t="s">
        <v>44</v>
      </c>
      <c r="F4" s="34"/>
      <c r="G4" s="34"/>
      <c r="H4" s="31"/>
    </row>
    <row r="5" spans="1:11" x14ac:dyDescent="0.2">
      <c r="B5" s="31"/>
      <c r="C5" s="31"/>
      <c r="D5" s="32"/>
      <c r="E5" s="31"/>
      <c r="F5" s="31"/>
      <c r="G5" s="31"/>
      <c r="H5" s="31"/>
    </row>
    <row r="6" spans="1:11" x14ac:dyDescent="0.2">
      <c r="A6" s="31" t="s">
        <v>54</v>
      </c>
      <c r="B6" s="30" t="s">
        <v>56</v>
      </c>
      <c r="C6" s="33" t="s">
        <v>21</v>
      </c>
      <c r="D6" s="35" t="s">
        <v>60</v>
      </c>
      <c r="E6" s="36">
        <v>5000</v>
      </c>
      <c r="F6" s="36">
        <v>10000</v>
      </c>
      <c r="G6" s="36">
        <v>15000</v>
      </c>
      <c r="H6" s="36">
        <v>18000</v>
      </c>
      <c r="I6" s="36">
        <v>20000</v>
      </c>
      <c r="J6" s="36">
        <v>23000</v>
      </c>
      <c r="K6" s="36">
        <v>25000</v>
      </c>
    </row>
    <row r="7" spans="1:11" x14ac:dyDescent="0.2">
      <c r="B7" s="37" t="s">
        <v>61</v>
      </c>
      <c r="C7" s="33" t="s">
        <v>39</v>
      </c>
      <c r="D7" s="40">
        <v>25</v>
      </c>
      <c r="E7" s="40">
        <v>24.9</v>
      </c>
      <c r="F7" s="40">
        <v>24.7</v>
      </c>
      <c r="G7" s="40">
        <v>24.6</v>
      </c>
      <c r="H7" s="40">
        <v>24.6</v>
      </c>
      <c r="I7" s="40">
        <v>24.7</v>
      </c>
      <c r="J7" s="40">
        <v>24.7</v>
      </c>
      <c r="K7" s="40">
        <v>24.7</v>
      </c>
    </row>
    <row r="8" spans="1:11" x14ac:dyDescent="0.2">
      <c r="B8" s="37" t="s">
        <v>110</v>
      </c>
      <c r="C8" s="37" t="s">
        <v>38</v>
      </c>
      <c r="D8" s="40">
        <v>2200</v>
      </c>
      <c r="E8" s="40">
        <v>2200</v>
      </c>
      <c r="F8" s="40">
        <v>2200</v>
      </c>
      <c r="G8" s="40">
        <v>2200</v>
      </c>
      <c r="H8" s="40">
        <v>2200</v>
      </c>
      <c r="I8" s="40">
        <v>2200</v>
      </c>
      <c r="J8" s="40">
        <v>2200</v>
      </c>
      <c r="K8" s="40">
        <v>2200</v>
      </c>
    </row>
    <row r="9" spans="1:11" x14ac:dyDescent="0.2">
      <c r="C9" s="37" t="s">
        <v>55</v>
      </c>
      <c r="D9" s="40">
        <v>65</v>
      </c>
      <c r="E9" s="40">
        <v>65</v>
      </c>
      <c r="F9" s="40">
        <v>65</v>
      </c>
      <c r="G9" s="40">
        <v>65</v>
      </c>
      <c r="H9" s="40">
        <v>65</v>
      </c>
      <c r="I9" s="40">
        <v>65</v>
      </c>
      <c r="J9" s="40">
        <v>65</v>
      </c>
      <c r="K9" s="40">
        <v>65</v>
      </c>
    </row>
    <row r="10" spans="1:11" x14ac:dyDescent="0.2">
      <c r="C10" s="33" t="s">
        <v>109</v>
      </c>
      <c r="D10" s="41">
        <v>184</v>
      </c>
      <c r="E10" s="41">
        <v>190</v>
      </c>
      <c r="F10" s="41">
        <v>199</v>
      </c>
      <c r="G10" s="41">
        <v>206</v>
      </c>
      <c r="H10" s="41">
        <v>210</v>
      </c>
      <c r="I10" s="41">
        <v>212</v>
      </c>
      <c r="J10" s="41">
        <v>217</v>
      </c>
      <c r="K10" s="41">
        <v>221</v>
      </c>
    </row>
    <row r="11" spans="1:11" x14ac:dyDescent="0.2">
      <c r="B11" s="38"/>
    </row>
    <row r="12" spans="1:11" x14ac:dyDescent="0.2">
      <c r="A12" s="30" t="s">
        <v>63</v>
      </c>
      <c r="B12" s="30" t="s">
        <v>58</v>
      </c>
      <c r="C12" s="42">
        <v>58</v>
      </c>
      <c r="D12" s="38" t="s">
        <v>65</v>
      </c>
    </row>
    <row r="13" spans="1:11" x14ac:dyDescent="0.2">
      <c r="B13" s="30" t="s">
        <v>64</v>
      </c>
      <c r="C13" s="42">
        <v>34</v>
      </c>
      <c r="D13" s="38" t="s">
        <v>65</v>
      </c>
    </row>
    <row r="14" spans="1:11" x14ac:dyDescent="0.2">
      <c r="D14" s="38"/>
    </row>
    <row r="15" spans="1:11" x14ac:dyDescent="0.2">
      <c r="D15" s="38"/>
    </row>
    <row r="16" spans="1:11" x14ac:dyDescent="0.2">
      <c r="A16" s="39" t="s">
        <v>66</v>
      </c>
    </row>
    <row r="17" spans="1:5" x14ac:dyDescent="0.2">
      <c r="B17" s="38"/>
      <c r="C17" s="38" t="s">
        <v>0</v>
      </c>
      <c r="D17" s="38" t="s">
        <v>10</v>
      </c>
    </row>
    <row r="18" spans="1:5" x14ac:dyDescent="0.2">
      <c r="B18" s="38" t="s">
        <v>19</v>
      </c>
      <c r="C18" s="42">
        <v>157.66</v>
      </c>
      <c r="D18" s="42">
        <v>4000</v>
      </c>
      <c r="E18" s="30" t="s">
        <v>69</v>
      </c>
    </row>
    <row r="19" spans="1:5" x14ac:dyDescent="0.2">
      <c r="B19" s="38" t="s">
        <v>19</v>
      </c>
      <c r="C19" s="42">
        <v>157.66</v>
      </c>
      <c r="D19" s="42">
        <v>4600</v>
      </c>
      <c r="E19" s="30" t="s">
        <v>69</v>
      </c>
    </row>
    <row r="20" spans="1:5" x14ac:dyDescent="0.2">
      <c r="B20" s="38" t="s">
        <v>19</v>
      </c>
      <c r="C20" s="42">
        <v>160.66999999999999</v>
      </c>
      <c r="D20" s="42">
        <v>6000</v>
      </c>
      <c r="E20" s="30" t="s">
        <v>69</v>
      </c>
    </row>
    <row r="21" spans="1:5" x14ac:dyDescent="0.2">
      <c r="B21" s="38" t="s">
        <v>20</v>
      </c>
      <c r="C21" s="42">
        <v>167.88</v>
      </c>
      <c r="D21" s="42">
        <v>6000</v>
      </c>
      <c r="E21" s="30" t="s">
        <v>69</v>
      </c>
    </row>
    <row r="22" spans="1:5" x14ac:dyDescent="0.2">
      <c r="B22" s="38" t="s">
        <v>20</v>
      </c>
      <c r="C22" s="42">
        <v>167.88</v>
      </c>
      <c r="D22" s="42">
        <v>4000</v>
      </c>
      <c r="E22" s="30" t="s">
        <v>69</v>
      </c>
    </row>
    <row r="23" spans="1:5" x14ac:dyDescent="0.2">
      <c r="B23" s="38"/>
    </row>
    <row r="24" spans="1:5" x14ac:dyDescent="0.2">
      <c r="B24" s="37" t="s">
        <v>67</v>
      </c>
      <c r="D24" s="42">
        <v>6000</v>
      </c>
      <c r="E24" s="30" t="s">
        <v>69</v>
      </c>
    </row>
    <row r="25" spans="1:5" x14ac:dyDescent="0.2">
      <c r="B25" s="37" t="s">
        <v>68</v>
      </c>
      <c r="D25" s="42">
        <v>6000</v>
      </c>
      <c r="E25" s="30" t="s">
        <v>69</v>
      </c>
    </row>
    <row r="26" spans="1:5" x14ac:dyDescent="0.2">
      <c r="B26" s="37" t="s">
        <v>98</v>
      </c>
      <c r="D26" s="42">
        <v>6000</v>
      </c>
      <c r="E26" s="30" t="s">
        <v>69</v>
      </c>
    </row>
    <row r="27" spans="1:5" x14ac:dyDescent="0.2">
      <c r="B27" s="37" t="s">
        <v>78</v>
      </c>
      <c r="D27" s="42">
        <v>4208</v>
      </c>
      <c r="E27" s="30" t="s">
        <v>69</v>
      </c>
    </row>
    <row r="28" spans="1:5" x14ac:dyDescent="0.2">
      <c r="B28" s="38" t="s">
        <v>79</v>
      </c>
      <c r="D28" s="42">
        <v>163.54</v>
      </c>
    </row>
    <row r="29" spans="1:5" x14ac:dyDescent="0.2">
      <c r="B29" s="38"/>
    </row>
    <row r="30" spans="1:5" x14ac:dyDescent="0.2">
      <c r="A30" s="30" t="s">
        <v>70</v>
      </c>
      <c r="B30" s="38" t="s">
        <v>71</v>
      </c>
      <c r="C30" s="42">
        <v>152</v>
      </c>
      <c r="D30" s="30" t="s">
        <v>59</v>
      </c>
    </row>
    <row r="31" spans="1:5" x14ac:dyDescent="0.2">
      <c r="B31" s="38" t="s">
        <v>72</v>
      </c>
      <c r="C31" s="42">
        <v>800</v>
      </c>
      <c r="D31" s="30" t="s">
        <v>36</v>
      </c>
    </row>
    <row r="32" spans="1:5" x14ac:dyDescent="0.2">
      <c r="B32" s="38"/>
    </row>
    <row r="33" spans="1:4" x14ac:dyDescent="0.2">
      <c r="A33" s="30" t="s">
        <v>76</v>
      </c>
      <c r="B33" s="38" t="s">
        <v>71</v>
      </c>
      <c r="C33" s="42">
        <v>220</v>
      </c>
      <c r="D33" s="30" t="s">
        <v>59</v>
      </c>
    </row>
    <row r="34" spans="1:4" x14ac:dyDescent="0.2">
      <c r="A34" s="38"/>
    </row>
  </sheetData>
  <sheetProtection algorithmName="SHA-512" hashValue="j38opFn7BXbcX/9ZCBe8OFj7WONIoWMW5bRFH8nWelVgyIzq7c7HZEyvuXhjF0FpYynAcs8mzyjz24TKUX63KA==" saltValue="jFCUBJzklAm0ZMFhf/yuOw==" spinCount="100000" sheet="1" objects="1" scenarios="1"/>
  <phoneticPr fontId="1" type="noConversion"/>
  <printOptions headings="1"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workbookViewId="0">
      <selection sqref="A1:XFD1048576"/>
    </sheetView>
  </sheetViews>
  <sheetFormatPr defaultColWidth="9.140625" defaultRowHeight="12.75" x14ac:dyDescent="0.2"/>
  <cols>
    <col min="1" max="1" width="24.85546875" style="30" customWidth="1"/>
    <col min="2" max="2" width="9.140625" style="30"/>
    <col min="3" max="3" width="8.5703125" style="30" customWidth="1"/>
    <col min="4" max="4" width="9.7109375" style="30" customWidth="1"/>
    <col min="5" max="7" width="9.140625" style="30"/>
    <col min="8" max="8" width="10.7109375" style="30" customWidth="1"/>
    <col min="9" max="16384" width="9.140625" style="30"/>
  </cols>
  <sheetData>
    <row r="2" spans="1:8" x14ac:dyDescent="0.2">
      <c r="A2" s="30" t="s">
        <v>22</v>
      </c>
    </row>
    <row r="3" spans="1:8" x14ac:dyDescent="0.2">
      <c r="A3" s="30" t="s">
        <v>49</v>
      </c>
      <c r="B3" s="43">
        <f>Flight!C4</f>
        <v>400</v>
      </c>
      <c r="C3" s="30" t="s">
        <v>57</v>
      </c>
    </row>
    <row r="4" spans="1:8" x14ac:dyDescent="0.2">
      <c r="A4" s="30" t="s">
        <v>48</v>
      </c>
      <c r="B4" s="44">
        <f>Flight!C5*100</f>
        <v>18000</v>
      </c>
      <c r="C4" s="30" t="s">
        <v>57</v>
      </c>
    </row>
    <row r="5" spans="1:8" x14ac:dyDescent="0.2">
      <c r="A5" s="30" t="s">
        <v>73</v>
      </c>
      <c r="B5" s="44">
        <f>Aircraft!C31</f>
        <v>800</v>
      </c>
      <c r="C5" s="30" t="s">
        <v>57</v>
      </c>
    </row>
    <row r="6" spans="1:8" x14ac:dyDescent="0.2">
      <c r="B6" s="45"/>
    </row>
    <row r="7" spans="1:8" x14ac:dyDescent="0.2">
      <c r="B7" s="46" t="s">
        <v>120</v>
      </c>
      <c r="C7" s="46" t="s">
        <v>121</v>
      </c>
      <c r="D7" s="35" t="s">
        <v>23</v>
      </c>
      <c r="F7" s="38"/>
      <c r="G7" s="38"/>
      <c r="H7" s="38"/>
    </row>
    <row r="8" spans="1:8" x14ac:dyDescent="0.2">
      <c r="A8" s="37" t="s">
        <v>122</v>
      </c>
      <c r="B8" s="47">
        <f>B4/B5</f>
        <v>22.5</v>
      </c>
      <c r="C8" s="47">
        <f>B8*(Aircraft!C12/60)</f>
        <v>21.75</v>
      </c>
      <c r="D8" s="47">
        <f>B8*(Aircraft!C30/60)</f>
        <v>57</v>
      </c>
      <c r="F8" s="38"/>
      <c r="G8" s="38"/>
      <c r="H8" s="38"/>
    </row>
    <row r="9" spans="1:8" x14ac:dyDescent="0.2">
      <c r="A9" s="37" t="s">
        <v>123</v>
      </c>
      <c r="B9" s="48">
        <f>Flight!C6</f>
        <v>224</v>
      </c>
      <c r="C9" s="49"/>
      <c r="D9" s="49"/>
      <c r="F9" s="38"/>
      <c r="G9" s="38"/>
      <c r="H9" s="38"/>
    </row>
    <row r="10" spans="1:8" x14ac:dyDescent="0.2">
      <c r="A10" s="37" t="s">
        <v>124</v>
      </c>
      <c r="B10" s="47">
        <f>(D10/B9)*60</f>
        <v>69.776785714285722</v>
      </c>
      <c r="C10" s="47">
        <f>B10*(Aircraft!C13/60)</f>
        <v>39.540178571428577</v>
      </c>
      <c r="D10" s="47">
        <f>B3-D8-D12</f>
        <v>260.5</v>
      </c>
      <c r="F10" s="38"/>
      <c r="G10" s="38"/>
      <c r="H10" s="38"/>
    </row>
    <row r="11" spans="1:8" x14ac:dyDescent="0.2">
      <c r="A11" s="37" t="s">
        <v>125</v>
      </c>
      <c r="B11" s="47">
        <f>Aircraft!C33</f>
        <v>220</v>
      </c>
      <c r="C11" s="47"/>
      <c r="D11" s="47"/>
      <c r="F11" s="38"/>
      <c r="G11" s="38"/>
      <c r="H11" s="38"/>
    </row>
    <row r="12" spans="1:8" x14ac:dyDescent="0.2">
      <c r="A12" s="37" t="s">
        <v>133</v>
      </c>
      <c r="B12" s="47">
        <f>+B8</f>
        <v>22.5</v>
      </c>
      <c r="C12" s="49">
        <f>B12*(Aircraft!C13/60)</f>
        <v>12.75</v>
      </c>
      <c r="D12" s="47">
        <f>B12*(B11/60)</f>
        <v>82.5</v>
      </c>
      <c r="F12" s="38"/>
      <c r="G12" s="38"/>
      <c r="H12" s="38"/>
    </row>
    <row r="13" spans="1:8" x14ac:dyDescent="0.2">
      <c r="A13" s="37"/>
      <c r="B13" s="47"/>
      <c r="C13" s="64">
        <f>SUM(C8:C12)</f>
        <v>74.040178571428584</v>
      </c>
      <c r="D13" s="64">
        <f>SUM(D8:D12)</f>
        <v>400</v>
      </c>
      <c r="F13" s="38"/>
      <c r="G13" s="38"/>
      <c r="H13" s="38"/>
    </row>
    <row r="14" spans="1:8" x14ac:dyDescent="0.2">
      <c r="B14" s="38"/>
      <c r="C14" s="38"/>
      <c r="F14" s="38"/>
      <c r="G14" s="38"/>
      <c r="H14" s="38"/>
    </row>
    <row r="15" spans="1:8" x14ac:dyDescent="0.2">
      <c r="A15" s="37" t="s">
        <v>88</v>
      </c>
      <c r="B15" s="50">
        <f>(B8+B10+B12)/60</f>
        <v>1.9129464285714286</v>
      </c>
      <c r="C15" s="38"/>
    </row>
    <row r="16" spans="1:8" x14ac:dyDescent="0.2">
      <c r="A16" s="37" t="s">
        <v>86</v>
      </c>
      <c r="B16" s="51">
        <f>C8+C10+C12</f>
        <v>74.040178571428584</v>
      </c>
      <c r="C16" s="62">
        <f>B25-C25</f>
        <v>74.040178571428584</v>
      </c>
      <c r="D16" s="30" t="s">
        <v>135</v>
      </c>
    </row>
    <row r="17" spans="1:6" x14ac:dyDescent="0.2">
      <c r="A17" s="37" t="s">
        <v>87</v>
      </c>
      <c r="B17" s="52">
        <f>D8+D10+D12</f>
        <v>400</v>
      </c>
    </row>
    <row r="18" spans="1:6" x14ac:dyDescent="0.2">
      <c r="A18" s="37" t="s">
        <v>91</v>
      </c>
      <c r="B18" s="53">
        <f>(Flight!C7/60)*Aircraft!C13</f>
        <v>34</v>
      </c>
    </row>
    <row r="19" spans="1:6" x14ac:dyDescent="0.2">
      <c r="A19" s="37" t="s">
        <v>92</v>
      </c>
      <c r="B19" s="52">
        <f>B16+B18</f>
        <v>108.04017857142858</v>
      </c>
    </row>
    <row r="21" spans="1:6" x14ac:dyDescent="0.2">
      <c r="A21" s="54" t="s">
        <v>114</v>
      </c>
      <c r="B21" s="63" t="s">
        <v>131</v>
      </c>
      <c r="C21" s="55" t="s">
        <v>132</v>
      </c>
      <c r="D21" s="55" t="s">
        <v>112</v>
      </c>
      <c r="E21" s="55" t="s">
        <v>113</v>
      </c>
      <c r="F21" s="55" t="s">
        <v>1</v>
      </c>
    </row>
    <row r="22" spans="1:6" x14ac:dyDescent="0.2">
      <c r="A22" s="33" t="s">
        <v>115</v>
      </c>
      <c r="B22" s="62">
        <f>Flight!B21</f>
        <v>100</v>
      </c>
      <c r="C22" s="56">
        <f>IF((B16*0.8211)&gt;B22,0,(B22-$B$16*0.8211))</f>
        <v>39.205609374999987</v>
      </c>
      <c r="D22" s="56">
        <f>C22*6</f>
        <v>235.23365624999991</v>
      </c>
      <c r="E22" s="56">
        <v>170</v>
      </c>
      <c r="F22" s="57">
        <f>D22*E22</f>
        <v>39989.721562499988</v>
      </c>
    </row>
    <row r="23" spans="1:6" x14ac:dyDescent="0.2">
      <c r="A23" s="33" t="s">
        <v>116</v>
      </c>
      <c r="B23" s="62">
        <f>Flight!B23+Flight!B25</f>
        <v>41.5</v>
      </c>
      <c r="C23" s="56">
        <f>_xlfn.SINGLE(IF(B24&gt;0,_xlfn.SINGLE(IF(C24&gt;0,B23,B25-B16)),B25-B16-C22))</f>
        <v>28.254212053571429</v>
      </c>
      <c r="D23" s="56">
        <f>C23*6</f>
        <v>169.52527232142859</v>
      </c>
      <c r="E23" s="56">
        <v>213</v>
      </c>
      <c r="F23" s="57">
        <f>D23*E23</f>
        <v>36108.883004464289</v>
      </c>
    </row>
    <row r="24" spans="1:6" x14ac:dyDescent="0.2">
      <c r="A24" s="33" t="s">
        <v>117</v>
      </c>
      <c r="B24" s="62">
        <f>Flight!B27</f>
        <v>0</v>
      </c>
      <c r="C24" s="56">
        <f>IF(C22&gt;0, _xlfn.SINGLE(IF(B24&gt;0,B24-($B$16*0.1789),0)), _xlfn.SINGLE(IF($B$16-B22&gt;B24,0, B24-$B$16+B22)))</f>
        <v>0</v>
      </c>
      <c r="D24" s="56">
        <f>C24*6</f>
        <v>0</v>
      </c>
      <c r="E24" s="56">
        <v>230</v>
      </c>
      <c r="F24" s="57">
        <f>D24*E24</f>
        <v>0</v>
      </c>
    </row>
    <row r="25" spans="1:6" x14ac:dyDescent="0.2">
      <c r="A25" s="58" t="s">
        <v>5</v>
      </c>
      <c r="B25" s="59">
        <f>SUM(B22:B24)</f>
        <v>141.5</v>
      </c>
      <c r="C25" s="59">
        <f>SUM(C22:C24)</f>
        <v>67.459821428571416</v>
      </c>
      <c r="D25" s="59">
        <f>Flight!C12+Flight!C14+Flight!C15+Flight!C16+Flight!C17+Flight!C18+D22+D23+D24</f>
        <v>5517.7589285714284</v>
      </c>
      <c r="E25" s="59">
        <f>F25/D25</f>
        <v>164.28316936304691</v>
      </c>
      <c r="F25" s="60">
        <f>Flight!E12+Flight!E14+Flight!E15+Flight!E16+Flight!E17+Flight!E18+F22+F23+F24</f>
        <v>906474.92456696427</v>
      </c>
    </row>
    <row r="26" spans="1:6" x14ac:dyDescent="0.2">
      <c r="A26" s="31"/>
      <c r="B26" s="33"/>
      <c r="C26" s="33"/>
      <c r="D26" s="33"/>
      <c r="E26" s="33"/>
    </row>
    <row r="27" spans="1:6" x14ac:dyDescent="0.2">
      <c r="A27" s="37" t="s">
        <v>118</v>
      </c>
      <c r="B27" s="61" t="s">
        <v>119</v>
      </c>
    </row>
    <row r="28" spans="1:6" x14ac:dyDescent="0.2">
      <c r="B28" s="30" t="s">
        <v>134</v>
      </c>
    </row>
    <row r="29" spans="1:6" x14ac:dyDescent="0.2">
      <c r="B29" s="62"/>
    </row>
  </sheetData>
  <sheetProtection algorithmName="SHA-512" hashValue="KcmDyyBTiRgQkhHZrh8stL82NhjZK+vr/C3Bygiep+XUeedLFnR8BVEc7Py2/MrjfNakCyvk6aF9RxTmx/THRg==" saltValue="rYjvX1RYQzFQFAvkLOI2wg==" spinCount="100000" sheet="1" objects="1" scenarios="1"/>
  <phoneticPr fontId="1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Flight</vt:lpstr>
      <vt:lpstr>Aircraft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Tripp</dc:creator>
  <cp:lastModifiedBy>Joel Champlin</cp:lastModifiedBy>
  <cp:lastPrinted>2007-07-25T12:04:34Z</cp:lastPrinted>
  <dcterms:created xsi:type="dcterms:W3CDTF">2006-02-27T21:36:24Z</dcterms:created>
  <dcterms:modified xsi:type="dcterms:W3CDTF">2023-01-20T16:32:44Z</dcterms:modified>
</cp:coreProperties>
</file>